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aqueberge\Dropbox\Travail\Cours\ECE-Rate Curves\"/>
    </mc:Choice>
  </mc:AlternateContent>
  <bookViews>
    <workbookView xWindow="0" yWindow="0" windowWidth="11796" windowHeight="4704"/>
  </bookViews>
  <sheets>
    <sheet name="Bootstrap" sheetId="1" r:id="rId1"/>
    <sheet name="Newton Raphson" sheetId="2" r:id="rId2"/>
    <sheet name="Interpol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B11" i="3"/>
  <c r="D9" i="3"/>
  <c r="T12" i="2" l="1"/>
  <c r="S12" i="2"/>
  <c r="G9" i="2" s="1"/>
  <c r="S7" i="2"/>
  <c r="F8" i="2" s="1"/>
  <c r="F9" i="2" l="1"/>
  <c r="U7" i="2"/>
  <c r="V7" i="2" s="1"/>
  <c r="U12" i="2" s="1"/>
  <c r="N5" i="2"/>
  <c r="E34" i="1"/>
  <c r="E35" i="1"/>
  <c r="E10" i="1"/>
  <c r="F15" i="1"/>
  <c r="D10" i="3" s="1"/>
  <c r="E24" i="1"/>
  <c r="E15" i="1"/>
  <c r="G10" i="1" l="1"/>
  <c r="E9" i="3" s="1"/>
  <c r="V12" i="2"/>
  <c r="F34" i="1"/>
  <c r="F35" i="1" s="1"/>
  <c r="H10" i="1" l="1"/>
  <c r="F9" i="3" s="1"/>
  <c r="N6" i="2"/>
  <c r="K10" i="2"/>
  <c r="E36" i="1" l="1"/>
  <c r="E37" i="1"/>
  <c r="G15" i="1"/>
  <c r="E10" i="3" s="1"/>
  <c r="K8" i="2"/>
  <c r="J9" i="2"/>
  <c r="K9" i="2"/>
  <c r="J8" i="2"/>
  <c r="G34" i="1"/>
  <c r="E38" i="1" l="1"/>
  <c r="H15" i="1"/>
  <c r="F10" i="3" s="1"/>
  <c r="N8" i="2"/>
  <c r="C15" i="2" s="1"/>
  <c r="N9" i="2"/>
  <c r="C16" i="2" s="1"/>
  <c r="G35" i="1"/>
  <c r="E31" i="1" l="1"/>
  <c r="F11" i="3" s="1"/>
  <c r="F37" i="1"/>
  <c r="G24" i="1"/>
  <c r="H24" i="1" s="1"/>
  <c r="F36" i="1"/>
  <c r="F38" i="1" s="1"/>
  <c r="G37" i="1"/>
  <c r="F16" i="2"/>
  <c r="G16" i="2"/>
  <c r="F15" i="2"/>
  <c r="N12" i="2"/>
  <c r="N13" i="2"/>
  <c r="E32" i="1" l="1"/>
  <c r="E11" i="3" s="1"/>
  <c r="C14" i="3" s="1"/>
  <c r="D14" i="3" s="1"/>
  <c r="G36" i="1"/>
  <c r="G38" i="1" s="1"/>
  <c r="I38" i="1" s="1"/>
  <c r="K17" i="2"/>
  <c r="K15" i="2" s="1"/>
  <c r="J16" i="2" l="1"/>
  <c r="J15" i="2"/>
  <c r="K16" i="2"/>
  <c r="N16" i="2" l="1"/>
  <c r="N15" i="2"/>
  <c r="C22" i="2" s="1"/>
  <c r="C23" i="2"/>
  <c r="N19" i="2" l="1"/>
  <c r="F22" i="2"/>
  <c r="N20" i="2"/>
  <c r="F23" i="2"/>
  <c r="G23" i="2"/>
  <c r="K24" i="2" l="1"/>
  <c r="K23" i="2" s="1"/>
  <c r="J22" i="2"/>
  <c r="J23" i="2"/>
  <c r="N23" i="2" l="1"/>
  <c r="C30" i="2" s="1"/>
  <c r="K22" i="2"/>
  <c r="N22" i="2" s="1"/>
  <c r="C29" i="2" s="1"/>
  <c r="N27" i="2" l="1"/>
  <c r="N26" i="2"/>
  <c r="F29" i="2"/>
  <c r="G30" i="2"/>
  <c r="F30" i="2"/>
  <c r="K31" i="2" l="1"/>
  <c r="K29" i="2" s="1"/>
  <c r="J29" i="2" l="1"/>
  <c r="N29" i="2" s="1"/>
  <c r="J30" i="2"/>
  <c r="K30" i="2"/>
  <c r="N30" i="2" l="1"/>
</calcChain>
</file>

<file path=xl/sharedStrings.xml><?xml version="1.0" encoding="utf-8"?>
<sst xmlns="http://schemas.openxmlformats.org/spreadsheetml/2006/main" count="161" uniqueCount="66">
  <si>
    <t>Tous les discount factor sont considérés être en convention exponentielle (continius compounding)</t>
  </si>
  <si>
    <t>LOAN</t>
  </si>
  <si>
    <t>start date</t>
  </si>
  <si>
    <t>end date</t>
  </si>
  <si>
    <t>market price</t>
  </si>
  <si>
    <t>ZC Calibré</t>
  </si>
  <si>
    <t>Le décompte des jours se fait en ACT / 360 pour les loans</t>
  </si>
  <si>
    <t>Le décompte des jours se fait en ACT / 365 pour les discount factors et les swaps.</t>
  </si>
  <si>
    <t>FUTURE</t>
  </si>
  <si>
    <t>today</t>
  </si>
  <si>
    <t>LIBOR3M</t>
  </si>
  <si>
    <t>Calculer le P&amp;L d'un FRA(3,6) souscrit au taux de FRA de 4% sur un notionel de 1 million d'euros</t>
  </si>
  <si>
    <t xml:space="preserve">Les estimations de prix de loan et lestaux de FRA sont en convention linéaires. </t>
  </si>
  <si>
    <t>taux de FRA</t>
  </si>
  <si>
    <t>P&amp;L</t>
  </si>
  <si>
    <t>FRA</t>
  </si>
  <si>
    <t>P&amp;L unitaire</t>
  </si>
  <si>
    <t>SWAP</t>
  </si>
  <si>
    <t>fixed leg</t>
  </si>
  <si>
    <t>floating leg</t>
  </si>
  <si>
    <t>Calculer le ZC associé à la maturité d'un SWAP - LIBOR3M au taux de 5% et vérifier que le P&amp;L est bien nul.</t>
  </si>
  <si>
    <t>SwapPrice=</t>
  </si>
  <si>
    <t>Total</t>
  </si>
  <si>
    <t>Payment Date</t>
  </si>
  <si>
    <t>Start Date</t>
  </si>
  <si>
    <t>DF</t>
  </si>
  <si>
    <t>Exercice 5 :</t>
  </si>
  <si>
    <t>DF(30/09/2017)=</t>
  </si>
  <si>
    <t>Date</t>
  </si>
  <si>
    <t>Discount Factor</t>
  </si>
  <si>
    <t>Instrument</t>
  </si>
  <si>
    <t>Loan 3M</t>
  </si>
  <si>
    <t>Future 3M</t>
  </si>
  <si>
    <t>-</t>
  </si>
  <si>
    <t>SWAP 9M</t>
  </si>
  <si>
    <t>Market Price</t>
  </si>
  <si>
    <t>ZC Interpolé</t>
  </si>
  <si>
    <t>Calculer le discount factor au 15/09/2017 par une interpolation linéaire des ZC</t>
  </si>
  <si>
    <t>Chaque case jaune doit être remplacée par une formule</t>
  </si>
  <si>
    <t>Exercice 6 :</t>
  </si>
  <si>
    <t xml:space="preserve">Cet exercice introduit le problème de split des zero-coupon sur les zero-coupons à calibrer. </t>
  </si>
  <si>
    <t>PL1</t>
  </si>
  <si>
    <t>PL2</t>
  </si>
  <si>
    <t>/dZ1</t>
  </si>
  <si>
    <t>dPL1</t>
  </si>
  <si>
    <t>dPL2</t>
  </si>
  <si>
    <t>/dZ2</t>
  </si>
  <si>
    <t>Z1</t>
  </si>
  <si>
    <t>Z2</t>
  </si>
  <si>
    <t>J</t>
  </si>
  <si>
    <t>J^-1</t>
  </si>
  <si>
    <t>det(J) =</t>
  </si>
  <si>
    <t>Eps1</t>
  </si>
  <si>
    <t>Eps2</t>
  </si>
  <si>
    <t>Etape 1</t>
  </si>
  <si>
    <t>Etape 2</t>
  </si>
  <si>
    <t>Etape 3</t>
  </si>
  <si>
    <t>Etape 4</t>
  </si>
  <si>
    <t>/dMR2</t>
  </si>
  <si>
    <t>Instrument 1</t>
  </si>
  <si>
    <t>Instrument 2</t>
  </si>
  <si>
    <t>Instrument 4</t>
  </si>
  <si>
    <t>Pricing d'un FRA</t>
  </si>
  <si>
    <t>Remplacer le SWAP 9M par un SWAP 1Y avec payments trimestriels, et calibrer la courbe avec ce nouvel instrument 4.</t>
  </si>
  <si>
    <t>Check if P&amp;L=0 ?</t>
  </si>
  <si>
    <t>La période de garantie du FRA est du 3 avril 2017 au 02 juillet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</si>
</sst>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0.0000%"/>
    <numFmt numFmtId="166" formatCode="0.00000%"/>
    <numFmt numFmtId="167" formatCode="0.000000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0" fillId="0" borderId="1" xfId="0" applyBorder="1"/>
    <xf numFmtId="14" fontId="0" fillId="0" borderId="1" xfId="0" applyNumberFormat="1" applyBorder="1"/>
    <xf numFmtId="14" fontId="2" fillId="0" borderId="1" xfId="0" applyNumberFormat="1" applyFont="1" applyBorder="1"/>
    <xf numFmtId="166" fontId="0" fillId="0" borderId="1" xfId="0" applyNumberFormat="1" applyBorder="1"/>
    <xf numFmtId="0" fontId="0" fillId="0" borderId="1" xfId="1" applyNumberFormat="1" applyFont="1" applyBorder="1"/>
    <xf numFmtId="9" fontId="0" fillId="0" borderId="1" xfId="0" applyNumberFormat="1" applyBorder="1"/>
    <xf numFmtId="14" fontId="0" fillId="0" borderId="1" xfId="0" applyNumberFormat="1" applyFont="1" applyBorder="1"/>
    <xf numFmtId="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" xfId="1" applyNumberFormat="1" applyFont="1" applyFill="1" applyBorder="1"/>
    <xf numFmtId="0" fontId="0" fillId="2" borderId="1" xfId="0" applyFill="1" applyBorder="1"/>
    <xf numFmtId="167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10" fontId="0" fillId="0" borderId="1" xfId="0" applyNumberFormat="1" applyBorder="1"/>
    <xf numFmtId="164" fontId="0" fillId="0" borderId="1" xfId="0" applyNumberFormat="1" applyBorder="1"/>
    <xf numFmtId="168" fontId="0" fillId="0" borderId="1" xfId="1" applyNumberFormat="1" applyFont="1" applyBorder="1"/>
    <xf numFmtId="165" fontId="0" fillId="0" borderId="1" xfId="0" applyNumberFormat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14" fontId="0" fillId="0" borderId="1" xfId="0" applyNumberFormat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/>
    <xf numFmtId="14" fontId="0" fillId="3" borderId="1" xfId="0" applyNumberFormat="1" applyFont="1" applyFill="1" applyBorder="1"/>
    <xf numFmtId="14" fontId="2" fillId="3" borderId="1" xfId="0" applyNumberFormat="1" applyFont="1" applyFill="1" applyBorder="1"/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166" fontId="0" fillId="0" borderId="10" xfId="1" applyNumberFormat="1" applyFont="1" applyBorder="1"/>
    <xf numFmtId="0" fontId="2" fillId="2" borderId="6" xfId="0" applyFont="1" applyFill="1" applyBorder="1"/>
    <xf numFmtId="0" fontId="0" fillId="2" borderId="8" xfId="0" applyNumberFormat="1" applyFill="1" applyBorder="1"/>
    <xf numFmtId="0" fontId="0" fillId="2" borderId="1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topLeftCell="A28" workbookViewId="0">
      <selection activeCell="A52" sqref="A41:XFD52"/>
    </sheetView>
  </sheetViews>
  <sheetFormatPr defaultRowHeight="14.4" x14ac:dyDescent="0.3"/>
  <cols>
    <col min="2" max="2" width="14.33203125" customWidth="1"/>
    <col min="3" max="3" width="12" customWidth="1"/>
    <col min="4" max="4" width="14.88671875" bestFit="1" customWidth="1"/>
    <col min="5" max="5" width="12.5546875" bestFit="1" customWidth="1"/>
    <col min="6" max="6" width="14.109375" bestFit="1" customWidth="1"/>
    <col min="7" max="7" width="14" bestFit="1" customWidth="1"/>
    <col min="8" max="8" width="13.88671875" bestFit="1" customWidth="1"/>
    <col min="9" max="9" width="14.5546875" bestFit="1" customWidth="1"/>
    <col min="10" max="10" width="12" bestFit="1" customWidth="1"/>
    <col min="11" max="11" width="14.88671875" bestFit="1" customWidth="1"/>
    <col min="12" max="12" width="10.77734375" bestFit="1" customWidth="1"/>
    <col min="16" max="16" width="14.88671875" bestFit="1" customWidth="1"/>
  </cols>
  <sheetData>
    <row r="2" spans="2:8" x14ac:dyDescent="0.3">
      <c r="B2" t="s">
        <v>0</v>
      </c>
    </row>
    <row r="3" spans="2:8" x14ac:dyDescent="0.3">
      <c r="B3" t="s">
        <v>12</v>
      </c>
    </row>
    <row r="4" spans="2:8" x14ac:dyDescent="0.3">
      <c r="B4" t="s">
        <v>7</v>
      </c>
    </row>
    <row r="5" spans="2:8" x14ac:dyDescent="0.3">
      <c r="B5" t="s">
        <v>6</v>
      </c>
    </row>
    <row r="6" spans="2:8" x14ac:dyDescent="0.3">
      <c r="B6" s="21" t="s">
        <v>38</v>
      </c>
      <c r="C6" s="22"/>
      <c r="D6" s="22"/>
      <c r="E6" s="23"/>
    </row>
    <row r="8" spans="2:8" x14ac:dyDescent="0.3">
      <c r="B8" s="1" t="s">
        <v>59</v>
      </c>
      <c r="C8" s="1"/>
    </row>
    <row r="9" spans="2:8" x14ac:dyDescent="0.3">
      <c r="B9" s="26" t="s">
        <v>1</v>
      </c>
      <c r="C9" s="26" t="s">
        <v>9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25</v>
      </c>
    </row>
    <row r="10" spans="2:8" x14ac:dyDescent="0.3">
      <c r="B10" s="3" t="s">
        <v>10</v>
      </c>
      <c r="C10" s="4">
        <v>42738</v>
      </c>
      <c r="D10" s="4">
        <v>42738</v>
      </c>
      <c r="E10" s="5">
        <f>D10+90</f>
        <v>42828</v>
      </c>
      <c r="F10" s="6">
        <v>4.2000000000000003E-2</v>
      </c>
      <c r="G10" s="12">
        <f>-365/(E10-D10)*LN(1/(1+F10*(E10-D10)/360))</f>
        <v>4.2361323549573067E-2</v>
      </c>
      <c r="H10" s="13">
        <f>EXP(-G10*(E10-C10)/365)</f>
        <v>0.9896091044037606</v>
      </c>
    </row>
    <row r="13" spans="2:8" x14ac:dyDescent="0.3">
      <c r="B13" s="1" t="s">
        <v>60</v>
      </c>
      <c r="C13" s="1"/>
    </row>
    <row r="14" spans="2:8" x14ac:dyDescent="0.3">
      <c r="B14" s="26" t="s">
        <v>8</v>
      </c>
      <c r="C14" s="26" t="s">
        <v>9</v>
      </c>
      <c r="D14" s="26" t="s">
        <v>2</v>
      </c>
      <c r="E14" s="26" t="s">
        <v>3</v>
      </c>
      <c r="F14" s="26" t="s">
        <v>4</v>
      </c>
      <c r="G14" s="26" t="s">
        <v>5</v>
      </c>
      <c r="H14" s="26" t="s">
        <v>25</v>
      </c>
    </row>
    <row r="15" spans="2:8" x14ac:dyDescent="0.3">
      <c r="B15" s="3" t="s">
        <v>10</v>
      </c>
      <c r="C15" s="4">
        <v>42738</v>
      </c>
      <c r="D15" s="4">
        <v>42828</v>
      </c>
      <c r="E15" s="5">
        <f>D15+90</f>
        <v>42918</v>
      </c>
      <c r="F15" s="7">
        <f>100-4.8%</f>
        <v>99.951999999999998</v>
      </c>
      <c r="G15" s="12">
        <f>365/(E15-C15)*LN(((100-F15)*(E15-D15)/360+1)/H10)</f>
        <v>4.53691526960373E-2</v>
      </c>
      <c r="H15" s="13">
        <f>EXP(-G15*(E15-C15)/365)</f>
        <v>0.97787460909462454</v>
      </c>
    </row>
    <row r="18" spans="2:12" x14ac:dyDescent="0.3">
      <c r="B18" s="1" t="s">
        <v>62</v>
      </c>
    </row>
    <row r="19" spans="2:12" x14ac:dyDescent="0.3">
      <c r="B19" t="s">
        <v>11</v>
      </c>
    </row>
    <row r="20" spans="2:12" x14ac:dyDescent="0.3">
      <c r="B20" t="s">
        <v>65</v>
      </c>
    </row>
    <row r="23" spans="2:12" x14ac:dyDescent="0.3">
      <c r="B23" s="27" t="s">
        <v>15</v>
      </c>
      <c r="C23" s="27" t="s">
        <v>9</v>
      </c>
      <c r="D23" s="27" t="s">
        <v>2</v>
      </c>
      <c r="E23" s="27" t="s">
        <v>3</v>
      </c>
      <c r="F23" s="27" t="s">
        <v>13</v>
      </c>
      <c r="G23" s="27" t="s">
        <v>16</v>
      </c>
      <c r="H23" s="27" t="s">
        <v>14</v>
      </c>
    </row>
    <row r="24" spans="2:12" x14ac:dyDescent="0.3">
      <c r="B24" s="3" t="s">
        <v>10</v>
      </c>
      <c r="C24" s="4">
        <v>42738</v>
      </c>
      <c r="D24" s="4">
        <v>42828</v>
      </c>
      <c r="E24" s="9">
        <f>D24+90</f>
        <v>42918</v>
      </c>
      <c r="F24" s="8">
        <v>0.04</v>
      </c>
      <c r="G24" s="14">
        <f>((F24-(H10/H15-1)*360/(E24-D24))*(E24-D24)/360)/(1+F24*(E24-D24)/360)*H10</f>
        <v>-1.9596219889190009E-3</v>
      </c>
      <c r="H24" s="13">
        <f>1000000*G24</f>
        <v>-1959.6219889190008</v>
      </c>
    </row>
    <row r="25" spans="2:12" x14ac:dyDescent="0.3">
      <c r="G25" s="2"/>
    </row>
    <row r="27" spans="2:12" x14ac:dyDescent="0.3">
      <c r="B27" s="1" t="s">
        <v>61</v>
      </c>
    </row>
    <row r="28" spans="2:12" x14ac:dyDescent="0.3">
      <c r="B28" t="s">
        <v>20</v>
      </c>
    </row>
    <row r="30" spans="2:12" x14ac:dyDescent="0.3">
      <c r="D30" s="29" t="s">
        <v>21</v>
      </c>
      <c r="E30" s="10">
        <v>0.05</v>
      </c>
      <c r="K30" s="11"/>
      <c r="L30" s="11"/>
    </row>
    <row r="31" spans="2:12" x14ac:dyDescent="0.3">
      <c r="D31" s="30" t="s">
        <v>27</v>
      </c>
      <c r="E31" s="15">
        <f>(1-0.25*E30*(H15+H10))/(1+E30*0.25)</f>
        <v>0.96336439859878542</v>
      </c>
      <c r="K31" s="11"/>
      <c r="L31" s="11"/>
    </row>
    <row r="32" spans="2:12" x14ac:dyDescent="0.3">
      <c r="D32" s="30" t="s">
        <v>5</v>
      </c>
      <c r="E32" s="16">
        <f>-365/(G35-C35)*LN(E31)</f>
        <v>5.0455895832998664E-2</v>
      </c>
      <c r="K32" s="11"/>
      <c r="L32" s="11"/>
    </row>
    <row r="34" spans="2:9" x14ac:dyDescent="0.3">
      <c r="B34" s="26" t="s">
        <v>17</v>
      </c>
      <c r="C34" s="26" t="s">
        <v>9</v>
      </c>
      <c r="D34" s="26" t="s">
        <v>24</v>
      </c>
      <c r="E34" s="31">
        <f>C35</f>
        <v>42738</v>
      </c>
      <c r="F34" s="32">
        <f>E35</f>
        <v>42828</v>
      </c>
      <c r="G34" s="32">
        <f>F35</f>
        <v>42918</v>
      </c>
    </row>
    <row r="35" spans="2:9" x14ac:dyDescent="0.3">
      <c r="B35" s="26" t="s">
        <v>10</v>
      </c>
      <c r="C35" s="31">
        <v>42738</v>
      </c>
      <c r="D35" s="26" t="s">
        <v>23</v>
      </c>
      <c r="E35" s="32">
        <f>C35+90</f>
        <v>42828</v>
      </c>
      <c r="F35" s="32">
        <f>F34+90</f>
        <v>42918</v>
      </c>
      <c r="G35" s="33">
        <f>G34+90</f>
        <v>43008</v>
      </c>
    </row>
    <row r="36" spans="2:9" x14ac:dyDescent="0.3">
      <c r="B36" s="26" t="s">
        <v>18</v>
      </c>
      <c r="E36" s="13">
        <f>$E$30*(E35-E34)/360*H10</f>
        <v>1.2370113805047009E-2</v>
      </c>
      <c r="F36" s="13">
        <f>$E$30*(F35-F34)/360*H15</f>
        <v>1.2223432613682807E-2</v>
      </c>
      <c r="G36" s="13">
        <f>$E$30*(G35-G34)/360*E31</f>
        <v>1.2042054982484819E-2</v>
      </c>
    </row>
    <row r="37" spans="2:9" x14ac:dyDescent="0.3">
      <c r="B37" s="26" t="s">
        <v>19</v>
      </c>
      <c r="E37" s="13">
        <f>(1-H10)</f>
        <v>1.0390895596239402E-2</v>
      </c>
      <c r="F37" s="13">
        <f>H10-H15</f>
        <v>1.1734495309136062E-2</v>
      </c>
      <c r="G37" s="13">
        <f>H15-E31</f>
        <v>1.4510210495839115E-2</v>
      </c>
      <c r="I37" t="s">
        <v>64</v>
      </c>
    </row>
    <row r="38" spans="2:9" x14ac:dyDescent="0.3">
      <c r="B38" s="26" t="s">
        <v>22</v>
      </c>
      <c r="E38" s="13">
        <f>E36-E37</f>
        <v>1.9792182088076062E-3</v>
      </c>
      <c r="F38" s="13">
        <f>F36-F37</f>
        <v>4.8893730454674551E-4</v>
      </c>
      <c r="G38" s="13">
        <f>G36-G37</f>
        <v>-2.4681555133542962E-3</v>
      </c>
      <c r="I38" s="13">
        <f>E38+F38+G38</f>
        <v>5.5511151231257827E-17</v>
      </c>
    </row>
    <row r="41" spans="2:9" x14ac:dyDescent="0.3">
      <c r="B41" s="1" t="s">
        <v>39</v>
      </c>
    </row>
    <row r="42" spans="2:9" x14ac:dyDescent="0.3">
      <c r="B42" t="s">
        <v>63</v>
      </c>
    </row>
    <row r="43" spans="2:9" x14ac:dyDescent="0.3">
      <c r="B43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49"/>
  <sheetViews>
    <sheetView workbookViewId="0">
      <selection activeCell="P11" sqref="P11"/>
    </sheetView>
  </sheetViews>
  <sheetFormatPr defaultRowHeight="14.4" x14ac:dyDescent="0.3"/>
  <cols>
    <col min="1" max="1" width="2.33203125" customWidth="1"/>
    <col min="2" max="2" width="2.88671875" bestFit="1" customWidth="1"/>
    <col min="3" max="3" width="10" bestFit="1" customWidth="1"/>
    <col min="4" max="4" width="2.33203125" customWidth="1"/>
    <col min="5" max="5" width="12.6640625" bestFit="1" customWidth="1"/>
    <col min="6" max="6" width="15.33203125" bestFit="1" customWidth="1"/>
    <col min="7" max="7" width="12" bestFit="1" customWidth="1"/>
    <col min="8" max="8" width="2.33203125" customWidth="1"/>
    <col min="9" max="9" width="12" bestFit="1" customWidth="1"/>
    <col min="10" max="11" width="12.6640625" bestFit="1" customWidth="1"/>
    <col min="12" max="12" width="2.33203125" customWidth="1"/>
    <col min="13" max="13" width="4.77734375" bestFit="1" customWidth="1"/>
    <col min="14" max="14" width="12.6640625" bestFit="1" customWidth="1"/>
    <col min="15" max="15" width="3.5546875" customWidth="1"/>
    <col min="16" max="16" width="10.21875" bestFit="1" customWidth="1"/>
    <col min="17" max="18" width="10.5546875" bestFit="1" customWidth="1"/>
    <col min="19" max="19" width="10.77734375" bestFit="1" customWidth="1"/>
    <col min="20" max="20" width="11.21875" bestFit="1" customWidth="1"/>
    <col min="21" max="21" width="9.109375" bestFit="1" customWidth="1"/>
    <col min="22" max="22" width="12" bestFit="1" customWidth="1"/>
  </cols>
  <sheetData>
    <row r="4" spans="2:22" ht="15" thickBot="1" x14ac:dyDescent="0.35"/>
    <row r="5" spans="2:22" x14ac:dyDescent="0.3">
      <c r="B5" s="35"/>
      <c r="C5" s="47" t="s">
        <v>54</v>
      </c>
      <c r="D5" s="36"/>
      <c r="E5" s="36"/>
      <c r="F5" s="36"/>
      <c r="G5" s="36"/>
      <c r="H5" s="36"/>
      <c r="I5" s="36"/>
      <c r="J5" s="36"/>
      <c r="K5" s="36"/>
      <c r="L5" s="36"/>
      <c r="M5" s="37" t="s">
        <v>41</v>
      </c>
      <c r="N5" s="48">
        <f>1000000*(-1+(1+$T$7*($S$7-$R$7)/360)*EXP(-C8*($S$7-$R$7)/365))</f>
        <v>-14111.758743299175</v>
      </c>
      <c r="P5" s="1" t="s">
        <v>59</v>
      </c>
      <c r="Q5" s="1"/>
    </row>
    <row r="6" spans="2:22" x14ac:dyDescent="0.3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" t="s">
        <v>42</v>
      </c>
      <c r="N6" s="49">
        <f>(1000000*((100-$T$12)-360/($S$12-$R$12)*(EXP(-C8*($R$12-$Q$12)/365)/EXP(-C9*($S$12-$Q$12)/365)-1))*($S$12-$R$12)/360)/(1+(100-$T$12)*($S$12-$R$12)/360)</f>
        <v>-12810.3214705804</v>
      </c>
      <c r="P6" s="26" t="s">
        <v>1</v>
      </c>
      <c r="Q6" s="26" t="s">
        <v>9</v>
      </c>
      <c r="R6" s="26" t="s">
        <v>2</v>
      </c>
      <c r="S6" s="26" t="s">
        <v>3</v>
      </c>
      <c r="T6" s="26" t="s">
        <v>4</v>
      </c>
      <c r="U6" s="26" t="s">
        <v>5</v>
      </c>
      <c r="V6" s="26" t="s">
        <v>25</v>
      </c>
    </row>
    <row r="7" spans="2:22" x14ac:dyDescent="0.3">
      <c r="B7" s="38"/>
      <c r="C7" s="39"/>
      <c r="D7" s="39"/>
      <c r="E7" s="3" t="s">
        <v>49</v>
      </c>
      <c r="F7" s="34" t="s">
        <v>43</v>
      </c>
      <c r="G7" s="34" t="s">
        <v>46</v>
      </c>
      <c r="H7" s="39"/>
      <c r="I7" s="3" t="s">
        <v>50</v>
      </c>
      <c r="J7" s="34" t="s">
        <v>43</v>
      </c>
      <c r="K7" s="34" t="s">
        <v>46</v>
      </c>
      <c r="L7" s="39"/>
      <c r="M7" s="39"/>
      <c r="N7" s="40"/>
      <c r="P7" s="3" t="s">
        <v>10</v>
      </c>
      <c r="Q7" s="4">
        <v>42738</v>
      </c>
      <c r="R7" s="4">
        <v>42738</v>
      </c>
      <c r="S7" s="5">
        <f>R7+90</f>
        <v>42828</v>
      </c>
      <c r="T7" s="6">
        <v>4.2000000000000003E-2</v>
      </c>
      <c r="U7" s="12">
        <f>-365/(S7-R7)*LN(1/(1+T7*(S7-R7)/360))</f>
        <v>4.2361323549573067E-2</v>
      </c>
      <c r="V7" s="13">
        <f>EXP(-U7*(S7-Q7)/365)</f>
        <v>0.9896091044037606</v>
      </c>
    </row>
    <row r="8" spans="2:22" x14ac:dyDescent="0.3">
      <c r="B8" s="41" t="s">
        <v>47</v>
      </c>
      <c r="C8" s="6">
        <v>0.1</v>
      </c>
      <c r="D8" s="39"/>
      <c r="E8" s="3" t="s">
        <v>44</v>
      </c>
      <c r="F8" s="13">
        <f>1000000*((1+$T$7*($S$7-$R$7)/360)*EXP(-C8*($S$7-$R$7)/365))*(-($S$7-$R$7)/365)</f>
        <v>-243095.73072083032</v>
      </c>
      <c r="G8" s="13">
        <v>0</v>
      </c>
      <c r="H8" s="39"/>
      <c r="I8" s="3" t="s">
        <v>44</v>
      </c>
      <c r="J8" s="3">
        <f>G9*K10</f>
        <v>-4.1136057677145876E-6</v>
      </c>
      <c r="K8" s="3">
        <f>-G8*K10</f>
        <v>0</v>
      </c>
      <c r="L8" s="39"/>
      <c r="M8" s="3" t="s">
        <v>52</v>
      </c>
      <c r="N8" s="46">
        <f>-(N5*J8+N6*K8)</f>
        <v>-5.805021215903225E-2</v>
      </c>
    </row>
    <row r="9" spans="2:22" x14ac:dyDescent="0.3">
      <c r="B9" s="41" t="s">
        <v>48</v>
      </c>
      <c r="C9" s="6">
        <v>0.1</v>
      </c>
      <c r="D9" s="39"/>
      <c r="E9" s="3" t="s">
        <v>45</v>
      </c>
      <c r="F9" s="13">
        <f>(1000000*(-360/($S$12-$R$12)*(EXP(-C8*($R$12-$Q$12)/365)/EXP(-C9*($S$12-$Q$12)/365)))*($S$12-$R$12)/360)/(1+(100-$T$12)*($S$12-$R$12)/360)*(-($R$12-$Q$12)/365)</f>
        <v>249734.05186945817</v>
      </c>
      <c r="G9" s="13">
        <f>(1000000*(-360/($S$12-$R$12)*(EXP(-C8*($R$12-$Q$12)/365)/EXP(-C9*($S$12-$Q$12)/365)))*($S$12-$R$12)/360)/(1+(100-$T$12)*($S$12-$R$12)/360)*(($S$12-$Q$12)/365)</f>
        <v>-499468.10373891634</v>
      </c>
      <c r="H9" s="39"/>
      <c r="I9" s="3" t="s">
        <v>45</v>
      </c>
      <c r="J9" s="3">
        <f>-F9*K10</f>
        <v>-2.0568028838572938E-6</v>
      </c>
      <c r="K9" s="3">
        <f>F8*K10</f>
        <v>-2.0021298507636505E-6</v>
      </c>
      <c r="L9" s="39"/>
      <c r="M9" s="3" t="s">
        <v>53</v>
      </c>
      <c r="N9" s="46">
        <f>-(N5*J9+N6*K9)</f>
        <v>-5.4673033093643651E-2</v>
      </c>
    </row>
    <row r="10" spans="2:22" ht="15" thickBot="1" x14ac:dyDescent="0.35">
      <c r="B10" s="42"/>
      <c r="C10" s="43"/>
      <c r="D10" s="43"/>
      <c r="E10" s="43"/>
      <c r="F10" s="43"/>
      <c r="G10" s="43"/>
      <c r="H10" s="43"/>
      <c r="I10" s="43"/>
      <c r="J10" s="44" t="s">
        <v>51</v>
      </c>
      <c r="K10" s="44">
        <f>1/(F8*G9-G8*F9)</f>
        <v>8.2359729018148994E-12</v>
      </c>
      <c r="L10" s="43"/>
      <c r="M10" s="43"/>
      <c r="N10" s="45"/>
      <c r="P10" s="1" t="s">
        <v>60</v>
      </c>
      <c r="Q10" s="1"/>
    </row>
    <row r="11" spans="2:22" ht="15" thickBot="1" x14ac:dyDescent="0.35">
      <c r="P11" s="26" t="s">
        <v>8</v>
      </c>
      <c r="Q11" s="26" t="s">
        <v>9</v>
      </c>
      <c r="R11" s="26" t="s">
        <v>2</v>
      </c>
      <c r="S11" s="26" t="s">
        <v>3</v>
      </c>
      <c r="T11" s="26" t="s">
        <v>4</v>
      </c>
      <c r="U11" s="26" t="s">
        <v>5</v>
      </c>
      <c r="V11" s="26" t="s">
        <v>25</v>
      </c>
    </row>
    <row r="12" spans="2:22" x14ac:dyDescent="0.3">
      <c r="B12" s="35"/>
      <c r="C12" s="47" t="s">
        <v>55</v>
      </c>
      <c r="D12" s="36"/>
      <c r="E12" s="36"/>
      <c r="F12" s="36"/>
      <c r="G12" s="36"/>
      <c r="H12" s="36"/>
      <c r="I12" s="36"/>
      <c r="J12" s="36"/>
      <c r="K12" s="36"/>
      <c r="L12" s="36"/>
      <c r="M12" s="37" t="s">
        <v>41</v>
      </c>
      <c r="N12" s="48">
        <f>1000000*(-1+(1+$T$7*($S$7-$R$7)/360)*EXP(-C15*($S$7-$R$7)/365))</f>
        <v>101.47970700336018</v>
      </c>
      <c r="P12" s="3" t="s">
        <v>10</v>
      </c>
      <c r="Q12" s="4">
        <v>42738</v>
      </c>
      <c r="R12" s="4">
        <v>42828</v>
      </c>
      <c r="S12" s="5">
        <f>R12+90</f>
        <v>42918</v>
      </c>
      <c r="T12" s="7">
        <f>100-4.8%</f>
        <v>99.951999999999998</v>
      </c>
      <c r="U12" s="12">
        <f>365/(S12-Q12)*LN(((100-T12)*(S12-R12)/360+1)/V7)</f>
        <v>4.53691526960373E-2</v>
      </c>
      <c r="V12" s="13">
        <f>EXP(-U12*(S12-Q12)/365)</f>
        <v>0.97787460909462454</v>
      </c>
    </row>
    <row r="13" spans="2:22" x14ac:dyDescent="0.3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" t="s">
        <v>42</v>
      </c>
      <c r="N13" s="49">
        <f>(1000000*((100-$T$12)-360/($S$12-$R$12)*(EXP(-C15*($R$12-$Q$12)/365)/EXP(-C16*($S$12-$Q$12)/365)-1))*($S$12-$R$12)/360)/(1+(100-$T$12)*($S$12-$R$12)/360)</f>
        <v>-80.673861171756101</v>
      </c>
    </row>
    <row r="14" spans="2:22" x14ac:dyDescent="0.3">
      <c r="B14" s="38"/>
      <c r="C14" s="39"/>
      <c r="D14" s="39"/>
      <c r="E14" s="3" t="s">
        <v>49</v>
      </c>
      <c r="F14" s="34" t="s">
        <v>43</v>
      </c>
      <c r="G14" s="34" t="s">
        <v>46</v>
      </c>
      <c r="H14" s="39"/>
      <c r="I14" s="3" t="s">
        <v>50</v>
      </c>
      <c r="J14" s="34" t="s">
        <v>43</v>
      </c>
      <c r="K14" s="34" t="s">
        <v>46</v>
      </c>
      <c r="L14" s="39"/>
      <c r="M14" s="39"/>
      <c r="N14" s="40"/>
    </row>
    <row r="15" spans="2:22" x14ac:dyDescent="0.3">
      <c r="B15" s="41" t="s">
        <v>47</v>
      </c>
      <c r="C15" s="6">
        <f>C8+N8</f>
        <v>4.1949787840967756E-2</v>
      </c>
      <c r="D15" s="39"/>
      <c r="E15" s="3" t="s">
        <v>44</v>
      </c>
      <c r="F15" s="13">
        <f>1000000*((1+$T$7*($S$7-$R$7)/360)*EXP(-C15*($S$7-$R$7)/365))*(-($S$7-$R$7)/365)</f>
        <v>-246600.36485926108</v>
      </c>
      <c r="G15" s="13">
        <v>0</v>
      </c>
      <c r="H15" s="39"/>
      <c r="I15" s="3" t="s">
        <v>44</v>
      </c>
      <c r="J15" s="3">
        <f>G16*K17</f>
        <v>-4.0551440407264468E-6</v>
      </c>
      <c r="K15" s="3">
        <f>-G15*K17</f>
        <v>0</v>
      </c>
      <c r="L15" s="39"/>
      <c r="M15" s="3" t="s">
        <v>52</v>
      </c>
      <c r="N15" s="46">
        <f>-(N12*J15+N13*K15)</f>
        <v>4.1151482910934187E-4</v>
      </c>
    </row>
    <row r="16" spans="2:22" x14ac:dyDescent="0.3">
      <c r="B16" s="41" t="s">
        <v>48</v>
      </c>
      <c r="C16" s="6">
        <f>C9+N9</f>
        <v>4.5326966906356354E-2</v>
      </c>
      <c r="D16" s="39"/>
      <c r="E16" s="3" t="s">
        <v>45</v>
      </c>
      <c r="F16" s="13">
        <f>(1000000*(-360/($S$12-$R$12)*(EXP(-C15*($R$12-$Q$12)/365)/EXP(-C16*($S$12-$Q$12)/365)))*($S$12-$R$12)/360)/(1+(100-$T$12)*($S$12-$R$12)/360)*(-($R$12-$Q$12)/365)</f>
        <v>246595.23465069986</v>
      </c>
      <c r="G16" s="13">
        <f>(1000000*(-360/($S$12-$R$12)*(EXP(-C15*($R$12-$Q$12)/365)/EXP(-C16*($S$12-$Q$12)/365)))*($S$12-$R$12)/360)/(1+(100-$T$12)*($S$12-$R$12)/360)*(($S$12-$Q$12)/365)</f>
        <v>-493190.46930139972</v>
      </c>
      <c r="H16" s="39"/>
      <c r="I16" s="3" t="s">
        <v>45</v>
      </c>
      <c r="J16" s="3">
        <f>-F16*K17</f>
        <v>-2.0275720203632234E-6</v>
      </c>
      <c r="K16" s="3">
        <f>F15*K17</f>
        <v>-2.0276142023111109E-6</v>
      </c>
      <c r="L16" s="39"/>
      <c r="M16" s="3" t="s">
        <v>53</v>
      </c>
      <c r="N16" s="46">
        <f>-(N12*J16+N13*K16)</f>
        <v>4.2181947887543381E-5</v>
      </c>
    </row>
    <row r="17" spans="2:14" ht="15" thickBot="1" x14ac:dyDescent="0.35">
      <c r="B17" s="42"/>
      <c r="C17" s="43"/>
      <c r="D17" s="43"/>
      <c r="E17" s="43"/>
      <c r="F17" s="43"/>
      <c r="G17" s="43"/>
      <c r="H17" s="43"/>
      <c r="I17" s="43"/>
      <c r="J17" s="44" t="s">
        <v>51</v>
      </c>
      <c r="K17" s="44">
        <f>1/(F15*G16-G15*F16)</f>
        <v>8.2222676493942087E-12</v>
      </c>
      <c r="L17" s="43"/>
      <c r="M17" s="43"/>
      <c r="N17" s="45"/>
    </row>
    <row r="18" spans="2:14" ht="15" thickBot="1" x14ac:dyDescent="0.35"/>
    <row r="19" spans="2:14" x14ac:dyDescent="0.3">
      <c r="B19" s="35"/>
      <c r="C19" s="47" t="s">
        <v>56</v>
      </c>
      <c r="D19" s="36"/>
      <c r="E19" s="36"/>
      <c r="F19" s="36"/>
      <c r="G19" s="36"/>
      <c r="H19" s="36"/>
      <c r="I19" s="36"/>
      <c r="J19" s="36"/>
      <c r="K19" s="36"/>
      <c r="L19" s="36"/>
      <c r="M19" s="37" t="s">
        <v>41</v>
      </c>
      <c r="N19" s="48">
        <f>1000000*(-1+(1+$T$7*($S$7-$R$7)/360)*EXP(-C22*($S$7-$R$7)/365))</f>
        <v>5.1483688423559215E-3</v>
      </c>
    </row>
    <row r="20" spans="2:14" x14ac:dyDescent="0.3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" t="s">
        <v>42</v>
      </c>
      <c r="N20" s="49">
        <f>(1000000*((100-$T$12)-360/($S$12-$R$12)*(EXP(-C22*($R$12-$Q$12)/365)/EXP(-C23*($S$12-$Q$12)/365)-1))*($S$12-$R$12)/360)/(1+(100-$T$12)*($S$12-$R$12)/360)</f>
        <v>-3.2537859100085112E-3</v>
      </c>
    </row>
    <row r="21" spans="2:14" x14ac:dyDescent="0.3">
      <c r="B21" s="38"/>
      <c r="C21" s="39"/>
      <c r="D21" s="39"/>
      <c r="E21" s="3" t="s">
        <v>49</v>
      </c>
      <c r="F21" s="34" t="s">
        <v>43</v>
      </c>
      <c r="G21" s="34" t="s">
        <v>46</v>
      </c>
      <c r="H21" s="39"/>
      <c r="I21" s="3" t="s">
        <v>50</v>
      </c>
      <c r="J21" s="34" t="s">
        <v>43</v>
      </c>
      <c r="K21" s="34" t="s">
        <v>46</v>
      </c>
      <c r="L21" s="39"/>
      <c r="M21" s="39"/>
      <c r="N21" s="40"/>
    </row>
    <row r="22" spans="2:14" x14ac:dyDescent="0.3">
      <c r="B22" s="41" t="s">
        <v>47</v>
      </c>
      <c r="C22" s="6">
        <f>C15+N15</f>
        <v>4.2361302670077094E-2</v>
      </c>
      <c r="D22" s="39"/>
      <c r="E22" s="3" t="s">
        <v>44</v>
      </c>
      <c r="F22" s="13">
        <f>1000000*((1+$T$7*($S$7-$R$7)/360)*EXP(-C22*($S$7-$R$7)/365))*(-($S$7-$R$7)/365)</f>
        <v>-246575.34373521424</v>
      </c>
      <c r="G22" s="13">
        <v>0</v>
      </c>
      <c r="H22" s="39"/>
      <c r="I22" s="3" t="s">
        <v>44</v>
      </c>
      <c r="J22" s="3">
        <f>G23*K24</f>
        <v>-4.055555534676059E-6</v>
      </c>
      <c r="K22" s="3">
        <f>-G22*K24</f>
        <v>0</v>
      </c>
      <c r="L22" s="39"/>
      <c r="M22" s="3" t="s">
        <v>52</v>
      </c>
      <c r="N22" s="46">
        <f>-(N19*J22+N20*K22)</f>
        <v>2.0879495753170331E-8</v>
      </c>
    </row>
    <row r="23" spans="2:14" x14ac:dyDescent="0.3">
      <c r="B23" s="41" t="s">
        <v>48</v>
      </c>
      <c r="C23" s="6">
        <f>C16+N16</f>
        <v>4.5369148854243896E-2</v>
      </c>
      <c r="D23" s="39"/>
      <c r="E23" s="3" t="s">
        <v>45</v>
      </c>
      <c r="F23" s="13">
        <f>(1000000*(-360/($S$12-$R$12)*(EXP(-C22*($R$12-$Q$12)/365)/EXP(-C23*($S$12-$Q$12)/365)))*($S$12-$R$12)/360)/(1+(100-$T$12)*($S$12-$R$12)/360)*(-($R$12-$Q$12)/365)</f>
        <v>246575.34326805678</v>
      </c>
      <c r="G23" s="13">
        <f>(1000000*(-360/($S$12-$R$12)*(EXP(-C22*($R$12-$Q$12)/365)/EXP(-C23*($S$12-$Q$12)/365)))*($S$12-$R$12)/360)/(1+(100-$T$12)*($S$12-$R$12)/360)*(($S$12-$Q$12)/365)</f>
        <v>-493150.68653611356</v>
      </c>
      <c r="H23" s="39"/>
      <c r="I23" s="3" t="s">
        <v>45</v>
      </c>
      <c r="J23" s="3">
        <f>-F23*K24</f>
        <v>-2.0277777673380295E-6</v>
      </c>
      <c r="K23" s="3">
        <f>F22*K24</f>
        <v>-2.0277777711798228E-6</v>
      </c>
      <c r="L23" s="39"/>
      <c r="M23" s="3" t="s">
        <v>53</v>
      </c>
      <c r="N23" s="46">
        <f>-(N19*J23+N20*K23)</f>
        <v>3.8417931360917951E-9</v>
      </c>
    </row>
    <row r="24" spans="2:14" ht="15" thickBot="1" x14ac:dyDescent="0.35">
      <c r="B24" s="42"/>
      <c r="C24" s="43"/>
      <c r="D24" s="43"/>
      <c r="E24" s="43"/>
      <c r="F24" s="43"/>
      <c r="G24" s="43"/>
      <c r="H24" s="43"/>
      <c r="I24" s="43"/>
      <c r="J24" s="44" t="s">
        <v>51</v>
      </c>
      <c r="K24" s="44">
        <f>1/(F22*G23-G22*F23)</f>
        <v>8.2237653630014156E-12</v>
      </c>
      <c r="L24" s="43"/>
      <c r="M24" s="43"/>
      <c r="N24" s="45"/>
    </row>
    <row r="25" spans="2:14" ht="15" thickBot="1" x14ac:dyDescent="0.35"/>
    <row r="26" spans="2:14" x14ac:dyDescent="0.3">
      <c r="B26" s="35"/>
      <c r="C26" s="47" t="s">
        <v>57</v>
      </c>
      <c r="D26" s="36"/>
      <c r="E26" s="36"/>
      <c r="F26" s="36"/>
      <c r="G26" s="36"/>
      <c r="H26" s="36"/>
      <c r="I26" s="36"/>
      <c r="J26" s="36"/>
      <c r="K26" s="36"/>
      <c r="L26" s="36"/>
      <c r="M26" s="37" t="s">
        <v>41</v>
      </c>
      <c r="N26" s="48">
        <f>1000000*(-1+(1+$T$7*($S$7-$R$7)/360)*EXP(-C29*($S$7-$R$7)/365))</f>
        <v>0</v>
      </c>
    </row>
    <row r="27" spans="2:14" x14ac:dyDescent="0.3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" t="s">
        <v>42</v>
      </c>
      <c r="N27" s="49">
        <f>(1000000*((100-$T$12)-360/($S$12-$R$12)*(EXP(-C29*($R$12-$Q$12)/365)/EXP(-C30*($S$12-$Q$12)/365)-1))*($S$12-$R$12)/360)/(1+(100-$T$12)*($S$12-$R$12)/360)</f>
        <v>0</v>
      </c>
    </row>
    <row r="28" spans="2:14" x14ac:dyDescent="0.3">
      <c r="B28" s="38"/>
      <c r="C28" s="39"/>
      <c r="D28" s="39"/>
      <c r="E28" s="3" t="s">
        <v>49</v>
      </c>
      <c r="F28" s="34" t="s">
        <v>43</v>
      </c>
      <c r="G28" s="34" t="s">
        <v>46</v>
      </c>
      <c r="H28" s="39"/>
      <c r="I28" s="3" t="s">
        <v>50</v>
      </c>
      <c r="J28" s="34" t="s">
        <v>43</v>
      </c>
      <c r="K28" s="34" t="s">
        <v>46</v>
      </c>
      <c r="L28" s="39"/>
      <c r="M28" s="39"/>
      <c r="N28" s="40"/>
    </row>
    <row r="29" spans="2:14" x14ac:dyDescent="0.3">
      <c r="B29" s="41" t="s">
        <v>47</v>
      </c>
      <c r="C29" s="6">
        <f>C22+N22</f>
        <v>4.2361323549572845E-2</v>
      </c>
      <c r="D29" s="39"/>
      <c r="E29" s="3" t="s">
        <v>44</v>
      </c>
      <c r="F29" s="13">
        <f>1000000*((1+$T$7*($S$7-$R$7)/360)*EXP(-C29*($S$7-$R$7)/365))*(-($S$7-$R$7)/365)</f>
        <v>-246575.34246575341</v>
      </c>
      <c r="G29" s="13">
        <v>0</v>
      </c>
      <c r="H29" s="39"/>
      <c r="I29" s="3" t="s">
        <v>44</v>
      </c>
      <c r="J29" s="3">
        <f>G30*K31</f>
        <v>-4.0555555555555558E-6</v>
      </c>
      <c r="K29" s="3">
        <f>-G29*K31</f>
        <v>0</v>
      </c>
      <c r="L29" s="39"/>
      <c r="M29" s="3" t="s">
        <v>52</v>
      </c>
      <c r="N29" s="46">
        <f>-(N26*J29+N27*K29)</f>
        <v>0</v>
      </c>
    </row>
    <row r="30" spans="2:14" x14ac:dyDescent="0.3">
      <c r="B30" s="41" t="s">
        <v>48</v>
      </c>
      <c r="C30" s="6">
        <f>C23+N23</f>
        <v>4.5369152696037029E-2</v>
      </c>
      <c r="D30" s="39"/>
      <c r="E30" s="3" t="s">
        <v>45</v>
      </c>
      <c r="F30" s="13">
        <f>(1000000*(-360/($S$12-$R$12)*(EXP(-C29*($R$12-$Q$12)/365)/EXP(-C30*($S$12-$Q$12)/365)))*($S$12-$R$12)/360)/(1+(100-$T$12)*($S$12-$R$12)/360)*(-($R$12-$Q$12)/365)</f>
        <v>246575.34246575341</v>
      </c>
      <c r="G30" s="13">
        <f>(1000000*(-360/($S$12-$R$12)*(EXP(-C29*($R$12-$Q$12)/365)/EXP(-C30*($S$12-$Q$12)/365)))*($S$12-$R$12)/360)/(1+(100-$T$12)*($S$12-$R$12)/360)*(($S$12-$Q$12)/365)</f>
        <v>-493150.68493150681</v>
      </c>
      <c r="H30" s="39"/>
      <c r="I30" s="3" t="s">
        <v>45</v>
      </c>
      <c r="J30" s="3">
        <f>-F30*K31</f>
        <v>-2.0277777777777779E-6</v>
      </c>
      <c r="K30" s="3">
        <f>F29*K31</f>
        <v>-2.0277777777777779E-6</v>
      </c>
      <c r="L30" s="39"/>
      <c r="M30" s="3" t="s">
        <v>53</v>
      </c>
      <c r="N30" s="46">
        <f>-(N26*J30+N27*K30)</f>
        <v>0</v>
      </c>
    </row>
    <row r="31" spans="2:14" ht="15" thickBot="1" x14ac:dyDescent="0.35">
      <c r="B31" s="42"/>
      <c r="C31" s="43"/>
      <c r="D31" s="43"/>
      <c r="E31" s="43"/>
      <c r="F31" s="43"/>
      <c r="G31" s="43"/>
      <c r="H31" s="43"/>
      <c r="I31" s="43"/>
      <c r="J31" s="44" t="s">
        <v>51</v>
      </c>
      <c r="K31" s="44">
        <f>1/(F29*G30-G29*F30)</f>
        <v>8.2237654320987671E-12</v>
      </c>
      <c r="L31" s="43"/>
      <c r="M31" s="43"/>
      <c r="N31" s="45"/>
    </row>
    <row r="43" spans="13:16" x14ac:dyDescent="0.3">
      <c r="P43" t="s">
        <v>58</v>
      </c>
    </row>
    <row r="44" spans="13:16" x14ac:dyDescent="0.3">
      <c r="P44">
        <v>0</v>
      </c>
    </row>
    <row r="45" spans="13:16" x14ac:dyDescent="0.3">
      <c r="P45">
        <v>246426.8112370625</v>
      </c>
    </row>
    <row r="47" spans="13:16" x14ac:dyDescent="0.3">
      <c r="M47" t="s">
        <v>50</v>
      </c>
      <c r="N47" t="s">
        <v>43</v>
      </c>
      <c r="O47" t="s">
        <v>46</v>
      </c>
    </row>
    <row r="48" spans="13:16" x14ac:dyDescent="0.3">
      <c r="M48" t="s">
        <v>44</v>
      </c>
      <c r="N48">
        <v>-4.0555555555555558E-6</v>
      </c>
      <c r="O48">
        <v>0</v>
      </c>
    </row>
    <row r="49" spans="13:15" x14ac:dyDescent="0.3">
      <c r="M49" t="s">
        <v>45</v>
      </c>
      <c r="N49">
        <v>-2.0277777777777779E-6</v>
      </c>
      <c r="O49">
        <v>-2.0277777777777779E-6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4"/>
  <sheetViews>
    <sheetView workbookViewId="0">
      <selection activeCell="B36" sqref="B36"/>
    </sheetView>
  </sheetViews>
  <sheetFormatPr defaultRowHeight="14.4" x14ac:dyDescent="0.3"/>
  <cols>
    <col min="2" max="2" width="13.6640625" customWidth="1"/>
    <col min="3" max="3" width="10.88671875" bestFit="1" customWidth="1"/>
    <col min="4" max="4" width="13.88671875" bestFit="1" customWidth="1"/>
  </cols>
  <sheetData>
    <row r="4" spans="2:6" x14ac:dyDescent="0.3">
      <c r="B4" s="1" t="s">
        <v>26</v>
      </c>
    </row>
    <row r="5" spans="2:6" x14ac:dyDescent="0.3">
      <c r="B5" t="s">
        <v>37</v>
      </c>
    </row>
    <row r="7" spans="2:6" x14ac:dyDescent="0.3">
      <c r="B7" s="26" t="s">
        <v>28</v>
      </c>
      <c r="C7" s="26" t="s">
        <v>30</v>
      </c>
      <c r="D7" s="26" t="s">
        <v>35</v>
      </c>
      <c r="E7" s="26" t="s">
        <v>5</v>
      </c>
      <c r="F7" s="26" t="s">
        <v>29</v>
      </c>
    </row>
    <row r="8" spans="2:6" x14ac:dyDescent="0.3">
      <c r="B8" s="5">
        <v>42738</v>
      </c>
      <c r="C8" s="3" t="s">
        <v>33</v>
      </c>
      <c r="D8" s="3"/>
      <c r="E8" s="3">
        <v>0</v>
      </c>
      <c r="F8" s="3">
        <v>1</v>
      </c>
    </row>
    <row r="9" spans="2:6" x14ac:dyDescent="0.3">
      <c r="B9" s="5">
        <v>42828</v>
      </c>
      <c r="C9" s="3" t="s">
        <v>31</v>
      </c>
      <c r="D9" s="17">
        <f>Bootstrap!F10</f>
        <v>4.2000000000000003E-2</v>
      </c>
      <c r="E9" s="18">
        <f>Bootstrap!G10</f>
        <v>4.2361323549573067E-2</v>
      </c>
      <c r="F9" s="3">
        <f>Bootstrap!H10</f>
        <v>0.9896091044037606</v>
      </c>
    </row>
    <row r="10" spans="2:6" x14ac:dyDescent="0.3">
      <c r="B10" s="5">
        <v>42918</v>
      </c>
      <c r="C10" s="3" t="s">
        <v>32</v>
      </c>
      <c r="D10" s="19">
        <f>Bootstrap!F15</f>
        <v>99.951999999999998</v>
      </c>
      <c r="E10" s="18">
        <f>Bootstrap!G15</f>
        <v>4.53691526960373E-2</v>
      </c>
      <c r="F10" s="3">
        <f>Bootstrap!H15</f>
        <v>0.97787460909462454</v>
      </c>
    </row>
    <row r="11" spans="2:6" x14ac:dyDescent="0.3">
      <c r="B11" s="5">
        <f>B10+90</f>
        <v>43008</v>
      </c>
      <c r="C11" s="3" t="s">
        <v>34</v>
      </c>
      <c r="D11" s="17">
        <f>Bootstrap!E30</f>
        <v>0.05</v>
      </c>
      <c r="E11" s="20">
        <f>Bootstrap!E32</f>
        <v>5.0455895832998664E-2</v>
      </c>
      <c r="F11" s="3">
        <f>Bootstrap!E31</f>
        <v>0.96336439859878542</v>
      </c>
    </row>
    <row r="13" spans="2:6" x14ac:dyDescent="0.3">
      <c r="B13" s="28" t="s">
        <v>28</v>
      </c>
      <c r="C13" s="28" t="s">
        <v>36</v>
      </c>
      <c r="D13" s="26" t="s">
        <v>29</v>
      </c>
    </row>
    <row r="14" spans="2:6" x14ac:dyDescent="0.3">
      <c r="B14" s="24">
        <v>42993</v>
      </c>
      <c r="C14" s="25">
        <f>((B14-B10)*E11+(B11-B14)*E10)/(B11-B10)</f>
        <v>4.960810531017177E-2</v>
      </c>
      <c r="D14" s="13">
        <f>EXP(-C14*(B14-B8)/365)</f>
        <v>0.9659359827521834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Bootstrap</vt:lpstr>
      <vt:lpstr>Newton Raphson</vt:lpstr>
      <vt:lpstr>Interpolation</vt:lpstr>
    </vt:vector>
  </TitlesOfParts>
  <Company>Murex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HAQUEBERGE Niels</dc:creator>
  <cp:lastModifiedBy>HAQUEBERGE Niels</cp:lastModifiedBy>
  <dcterms:created xsi:type="dcterms:W3CDTF">2017-01-03T18:15:09Z</dcterms:created>
  <dcterms:modified xsi:type="dcterms:W3CDTF">2017-01-13T10:59:37Z</dcterms:modified>
</cp:coreProperties>
</file>